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1415" windowHeight="8235" activeTab="1"/>
  </bookViews>
  <sheets>
    <sheet name="Sheet1" sheetId="1" r:id="rId1"/>
    <sheet name="A36 weight &amp; balanc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<sst xmlns="http://schemas.openxmlformats.org/spreadsheetml/2006/main" count="46" uniqueCount="40">
  <si>
    <t>All speeds mph;  Max ramp wt: 3792 lbs,  Max T/O wt: 3780 lbs,  Max lndg wt: 3600 lbs,  Max useful load: 1456 lbs.</t>
  </si>
  <si>
    <t>Number of center row seats installed (23 lbs ea.)</t>
  </si>
  <si>
    <t>Number of aft row seats  installed (15 lbs ea.)</t>
  </si>
  <si>
    <t>Weight and balance form</t>
  </si>
  <si>
    <t>Item</t>
  </si>
  <si>
    <t>qty</t>
  </si>
  <si>
    <t>Arm</t>
  </si>
  <si>
    <t>Weight</t>
  </si>
  <si>
    <t>Moment</t>
  </si>
  <si>
    <t>Basic empty weight</t>
  </si>
  <si>
    <t>Pilot</t>
  </si>
  <si>
    <t>Front Passenger</t>
  </si>
  <si>
    <t>Gross weight and moment: takeoff</t>
  </si>
  <si>
    <t xml:space="preserve">1.3 Vso </t>
  </si>
  <si>
    <t>Center of gravity</t>
  </si>
  <si>
    <t xml:space="preserve">1.3 Vs </t>
  </si>
  <si>
    <t>Allowable CG range @ gross weight</t>
  </si>
  <si>
    <t>Gross weight and moment: zero fuel</t>
  </si>
  <si>
    <t>Allowable CG range @ zero fuel weight</t>
  </si>
  <si>
    <t>Va</t>
  </si>
  <si>
    <t>Main tank fuel gals @ 6 lbs/gal</t>
  </si>
  <si>
    <t>Tip tank fuel gals @ 6 lbs/gal</t>
  </si>
  <si>
    <t>3rd seat occupant</t>
  </si>
  <si>
    <t>4th seat occupant</t>
  </si>
  <si>
    <t>5th seat occupant</t>
  </si>
  <si>
    <t>6th seat occupant</t>
  </si>
  <si>
    <t>A36 Bonanza N6073S</t>
  </si>
  <si>
    <t>(Arm 75 - 82)</t>
  </si>
  <si>
    <t>(Arm Club 111 - 115 / FWD 115 - 120)</t>
  </si>
  <si>
    <t>Seat configuration:</t>
  </si>
  <si>
    <t>Behind front seats</t>
  </si>
  <si>
    <t>Behind center seats</t>
  </si>
  <si>
    <t>Behind aft seats</t>
  </si>
  <si>
    <t>Cargo forward of spar</t>
  </si>
  <si>
    <t>Cargo aft of spar</t>
  </si>
  <si>
    <t>Fuel:</t>
  </si>
  <si>
    <t>Passenger weights:</t>
  </si>
  <si>
    <t>Baggage:</t>
  </si>
  <si>
    <t>(max 200 lbs)</t>
  </si>
  <si>
    <t>(max 400 lbs)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</si>
</sst>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right"/>
    </xf>
    <xf numFmtId="1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</c:f>
              <c:numCache>
                <c:ptCount val="5"/>
                <c:pt idx="0">
                  <c:v>74</c:v>
                </c:pt>
                <c:pt idx="1">
                  <c:v>74</c:v>
                </c:pt>
                <c:pt idx="2">
                  <c:v>81</c:v>
                </c:pt>
                <c:pt idx="3">
                  <c:v>87.7</c:v>
                </c:pt>
                <c:pt idx="4">
                  <c:v>87.7</c:v>
                </c:pt>
              </c:numCache>
            </c:numRef>
          </c:xVal>
          <c:yVal>
            <c:numRef>
              <c:f>Sheet1!$B$1:$B$5</c:f>
              <c:numCache>
                <c:ptCount val="5"/>
                <c:pt idx="0">
                  <c:v>2100</c:v>
                </c:pt>
                <c:pt idx="1">
                  <c:v>3100</c:v>
                </c:pt>
                <c:pt idx="2">
                  <c:v>3600</c:v>
                </c:pt>
                <c:pt idx="3">
                  <c:v>3600</c:v>
                </c:pt>
                <c:pt idx="4">
                  <c:v>2100</c:v>
                </c:pt>
              </c:numCache>
            </c:numRef>
          </c:yVal>
          <c:smooth val="0"/>
        </c:ser>
        <c:ser>
          <c:idx val="2"/>
          <c:order val="1"/>
          <c:tx>
            <c:v>Tip Tank Fuel Only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Sheet1!$D$1:$D$4</c:f>
              <c:numCache>
                <c:ptCount val="4"/>
                <c:pt idx="0">
                  <c:v>81</c:v>
                </c:pt>
                <c:pt idx="1">
                  <c:v>83.5</c:v>
                </c:pt>
                <c:pt idx="2">
                  <c:v>87.3</c:v>
                </c:pt>
                <c:pt idx="3">
                  <c:v>87.7</c:v>
                </c:pt>
              </c:numCache>
            </c:numRef>
          </c:xVal>
          <c:yVal>
            <c:numRef>
              <c:f>Sheet1!$E$1:$E$4</c:f>
              <c:numCache>
                <c:ptCount val="4"/>
                <c:pt idx="0">
                  <c:v>3600</c:v>
                </c:pt>
                <c:pt idx="1">
                  <c:v>3780</c:v>
                </c:pt>
                <c:pt idx="2">
                  <c:v>3780</c:v>
                </c:pt>
                <c:pt idx="3">
                  <c:v>3600</c:v>
                </c:pt>
              </c:numCache>
            </c:numRef>
          </c:yVal>
          <c:smooth val="0"/>
        </c:ser>
        <c:ser>
          <c:idx val="1"/>
          <c:order val="2"/>
          <c:tx>
            <c:v>CG tips first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Sheet1!$A$8:$A$10</c:f>
              <c:numCache>
                <c:ptCount val="3"/>
                <c:pt idx="0">
                  <c:v>83.65395598497048</c:v>
                </c:pt>
                <c:pt idx="1">
                  <c:v>83.43924318308292</c:v>
                </c:pt>
                <c:pt idx="2">
                  <c:v>84.37867656153371</c:v>
                </c:pt>
              </c:numCache>
            </c:numRef>
          </c:xVal>
          <c:yVal>
            <c:numRef>
              <c:f>Sheet1!$B$8:$B$10</c:f>
              <c:numCache>
                <c:ptCount val="3"/>
                <c:pt idx="0">
                  <c:v>3726</c:v>
                </c:pt>
                <c:pt idx="1">
                  <c:v>3594</c:v>
                </c:pt>
                <c:pt idx="2">
                  <c:v>3234</c:v>
                </c:pt>
              </c:numCache>
            </c:numRef>
          </c:yVal>
          <c:smooth val="0"/>
        </c:ser>
        <c:ser>
          <c:idx val="3"/>
          <c:order val="3"/>
          <c:tx>
            <c:v>CG mains first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Sheet1!$D$8:$D$10</c:f>
              <c:numCache>
                <c:ptCount val="3"/>
                <c:pt idx="0">
                  <c:v>83.65395598497048</c:v>
                </c:pt>
                <c:pt idx="1">
                  <c:v>84.5795127748069</c:v>
                </c:pt>
                <c:pt idx="2">
                  <c:v>84.37867656153371</c:v>
                </c:pt>
              </c:numCache>
            </c:numRef>
          </c:xVal>
          <c:yVal>
            <c:numRef>
              <c:f>Sheet1!$E$8:$E$10</c:f>
              <c:numCache>
                <c:ptCount val="3"/>
                <c:pt idx="0">
                  <c:v>3726</c:v>
                </c:pt>
                <c:pt idx="1">
                  <c:v>3366</c:v>
                </c:pt>
                <c:pt idx="2">
                  <c:v>3234</c:v>
                </c:pt>
              </c:numCache>
            </c:numRef>
          </c:yVal>
          <c:smooth val="0"/>
        </c:ser>
        <c:axId val="46512020"/>
        <c:axId val="15954997"/>
      </c:scatterChart>
      <c:valAx>
        <c:axId val="46512020"/>
        <c:scaling>
          <c:orientation val="minMax"/>
          <c:max val="89"/>
          <c:min val="7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954997"/>
        <c:crosses val="autoZero"/>
        <c:crossBetween val="midCat"/>
        <c:dispUnits/>
        <c:majorUnit val="1"/>
      </c:valAx>
      <c:valAx>
        <c:axId val="15954997"/>
        <c:scaling>
          <c:orientation val="minMax"/>
          <c:max val="3800"/>
          <c:min val="2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51202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8</xdr:col>
      <xdr:colOff>561975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6000750"/>
        <a:ext cx="56388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0" sqref="B10"/>
    </sheetView>
  </sheetViews>
  <sheetFormatPr defaultColWidth="9.00390625" defaultRowHeight="12.75"/>
  <cols>
    <col min="1" max="16384" width="11.375" style="0" customWidth="1"/>
  </cols>
  <sheetData>
    <row r="1" spans="1:5" ht="12.75">
      <c r="A1">
        <v>74</v>
      </c>
      <c r="B1">
        <v>2100</v>
      </c>
      <c r="D1">
        <v>81</v>
      </c>
      <c r="E1">
        <v>3600</v>
      </c>
    </row>
    <row r="2" spans="1:5" ht="12.75">
      <c r="A2">
        <v>74</v>
      </c>
      <c r="B2">
        <v>3100</v>
      </c>
      <c r="D2">
        <v>83.5</v>
      </c>
      <c r="E2">
        <v>3780</v>
      </c>
    </row>
    <row r="3" spans="1:5" ht="12.75">
      <c r="A3">
        <v>81</v>
      </c>
      <c r="B3">
        <v>3600</v>
      </c>
      <c r="D3">
        <v>87.3</v>
      </c>
      <c r="E3">
        <v>3780</v>
      </c>
    </row>
    <row r="4" spans="1:5" ht="12.75">
      <c r="A4">
        <v>87.7</v>
      </c>
      <c r="B4">
        <v>3600</v>
      </c>
      <c r="D4">
        <v>87.7</v>
      </c>
      <c r="E4">
        <v>3600</v>
      </c>
    </row>
    <row r="5" spans="1:2" ht="12.75">
      <c r="A5">
        <v>87.7</v>
      </c>
      <c r="B5">
        <v>2100</v>
      </c>
    </row>
    <row r="8" spans="1:5" ht="12.75">
      <c r="A8">
        <f>'A36 weight &amp; balance'!F30</f>
        <v>83.65395598497048</v>
      </c>
      <c r="B8" s="15">
        <f>'A36 weight &amp; balance'!E29</f>
        <v>3726</v>
      </c>
      <c r="D8">
        <f>'A36 weight &amp; balance'!F30</f>
        <v>83.65395598497048</v>
      </c>
      <c r="E8" s="15">
        <f>'A36 weight &amp; balance'!E29</f>
        <v>3726</v>
      </c>
    </row>
    <row r="9" spans="1:5" ht="12.75">
      <c r="A9">
        <f>('A36 weight &amp; balance'!F29-'A36 weight &amp; balance'!I27)/Sheet1!B9</f>
        <v>83.43924318308292</v>
      </c>
      <c r="B9" s="15">
        <f>Sheet1!B8-'A36 weight &amp; balance'!H27</f>
        <v>3594</v>
      </c>
      <c r="D9">
        <f>('A36 weight &amp; balance'!F29-'A36 weight &amp; balance'!I26)/Sheet1!E9</f>
        <v>84.5795127748069</v>
      </c>
      <c r="E9" s="15">
        <f>Sheet1!E8-'A36 weight &amp; balance'!H26</f>
        <v>3366</v>
      </c>
    </row>
    <row r="10" spans="1:5" ht="12.75">
      <c r="A10">
        <f>'A36 weight &amp; balance'!F35</f>
        <v>84.37867656153371</v>
      </c>
      <c r="B10" s="15">
        <f>'A36 weight &amp; balance'!E34</f>
        <v>3234</v>
      </c>
      <c r="D10">
        <f>'A36 weight &amp; balance'!F35</f>
        <v>84.37867656153371</v>
      </c>
      <c r="E10" s="15">
        <f>'A36 weight &amp; balance'!E34</f>
        <v>3234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workbookViewId="0" topLeftCell="A5">
      <selection activeCell="K23" sqref="K23"/>
    </sheetView>
  </sheetViews>
  <sheetFormatPr defaultColWidth="9.00390625" defaultRowHeight="12.75"/>
  <cols>
    <col min="1" max="1" width="18.375" style="2" customWidth="1"/>
    <col min="2" max="3" width="6.75390625" style="8" customWidth="1"/>
    <col min="4" max="4" width="7.75390625" style="9" customWidth="1"/>
    <col min="5" max="5" width="7.75390625" style="2" customWidth="1"/>
    <col min="6" max="6" width="7.75390625" style="1" customWidth="1"/>
    <col min="7" max="7" width="3.75390625" style="1" customWidth="1"/>
    <col min="8" max="8" width="7.75390625" style="11" customWidth="1"/>
    <col min="9" max="9" width="9.75390625" style="2" customWidth="1"/>
    <col min="10" max="10" width="7.75390625" style="1" customWidth="1"/>
    <col min="11" max="11" width="14.75390625" style="2" customWidth="1"/>
    <col min="12" max="12" width="7.75390625" style="1" customWidth="1"/>
    <col min="13" max="13" width="10.75390625" style="1" customWidth="1"/>
    <col min="14" max="16384" width="10.75390625" style="2" customWidth="1"/>
  </cols>
  <sheetData>
    <row r="1" spans="1:14" ht="12.75">
      <c r="A1" s="3" t="s">
        <v>26</v>
      </c>
      <c r="D1" s="3" t="s">
        <v>3</v>
      </c>
      <c r="G1"/>
      <c r="H1"/>
      <c r="I1" s="17">
        <f ca="1">NOW()</f>
        <v>37700.64104456019</v>
      </c>
      <c r="J1" s="2"/>
      <c r="K1" s="1"/>
      <c r="L1" s="10"/>
      <c r="N1" s="1"/>
    </row>
    <row r="2" spans="2:16" ht="12">
      <c r="B2" s="3"/>
      <c r="C2" s="3"/>
      <c r="D2" s="8"/>
      <c r="E2" s="8"/>
      <c r="F2" s="8"/>
      <c r="G2" s="9"/>
      <c r="H2" s="9"/>
      <c r="I2" s="16"/>
      <c r="J2" s="2"/>
      <c r="K2" s="1"/>
      <c r="L2" s="11"/>
      <c r="N2" s="1"/>
      <c r="P2" s="1"/>
    </row>
    <row r="3" spans="1:15" s="3" customFormat="1" ht="12.75" thickBot="1">
      <c r="A3" s="19" t="s">
        <v>4</v>
      </c>
      <c r="B3" s="19"/>
      <c r="C3" s="19"/>
      <c r="D3" s="19"/>
      <c r="E3" s="20" t="s">
        <v>5</v>
      </c>
      <c r="F3" s="21" t="s">
        <v>6</v>
      </c>
      <c r="G3" s="21"/>
      <c r="H3" s="22" t="s">
        <v>7</v>
      </c>
      <c r="I3" s="23" t="s">
        <v>8</v>
      </c>
      <c r="J3" s="14"/>
      <c r="K3" s="12"/>
      <c r="L3" s="16"/>
      <c r="M3" s="16"/>
      <c r="N3" s="10"/>
      <c r="O3" s="16"/>
    </row>
    <row r="4" spans="1:15" ht="12.75" thickTop="1">
      <c r="A4" s="2" t="s">
        <v>9</v>
      </c>
      <c r="B4" s="2"/>
      <c r="C4" s="2"/>
      <c r="D4" s="2"/>
      <c r="E4" s="8"/>
      <c r="F4" s="18">
        <f>77.86</f>
        <v>77.86</v>
      </c>
      <c r="G4" s="9"/>
      <c r="H4" s="1">
        <v>2324</v>
      </c>
      <c r="I4" s="1">
        <f>F4*H4</f>
        <v>180946.63999999998</v>
      </c>
      <c r="J4" s="13"/>
      <c r="K4" s="11"/>
      <c r="N4" s="4"/>
      <c r="O4" s="1"/>
    </row>
    <row r="5" spans="2:15" ht="12">
      <c r="B5" s="2"/>
      <c r="C5" s="2"/>
      <c r="D5" s="2"/>
      <c r="E5" s="8"/>
      <c r="F5" s="18"/>
      <c r="G5" s="9"/>
      <c r="H5" s="1"/>
      <c r="I5" s="1"/>
      <c r="J5" s="13"/>
      <c r="K5" s="11"/>
      <c r="N5" s="4"/>
      <c r="O5" s="1"/>
    </row>
    <row r="6" spans="1:15" ht="12">
      <c r="A6" s="3" t="s">
        <v>29</v>
      </c>
      <c r="B6" s="2"/>
      <c r="C6" s="2"/>
      <c r="D6" s="2"/>
      <c r="E6" s="8"/>
      <c r="F6" s="18"/>
      <c r="G6" s="9"/>
      <c r="H6" s="1"/>
      <c r="I6" s="1"/>
      <c r="J6" s="13"/>
      <c r="K6" s="11"/>
      <c r="N6" s="4"/>
      <c r="O6" s="1"/>
    </row>
    <row r="7" spans="1:15" ht="12">
      <c r="A7" s="2" t="s">
        <v>1</v>
      </c>
      <c r="B7" s="2"/>
      <c r="C7" s="2"/>
      <c r="D7" s="2"/>
      <c r="E7" s="24">
        <v>1</v>
      </c>
      <c r="F7" s="18">
        <v>106</v>
      </c>
      <c r="G7" s="9"/>
      <c r="H7" s="1">
        <f>23*E7-46</f>
        <v>-23</v>
      </c>
      <c r="I7" s="1">
        <f>H7*F7</f>
        <v>-2438</v>
      </c>
      <c r="J7" s="13"/>
      <c r="K7" s="11"/>
      <c r="N7" s="4"/>
      <c r="O7" s="1"/>
    </row>
    <row r="8" spans="1:15" ht="12">
      <c r="A8" s="2" t="s">
        <v>2</v>
      </c>
      <c r="B8" s="2"/>
      <c r="C8" s="2"/>
      <c r="D8" s="2"/>
      <c r="E8" s="24">
        <v>0</v>
      </c>
      <c r="F8" s="18">
        <v>155</v>
      </c>
      <c r="G8" s="9"/>
      <c r="H8" s="1">
        <f>15*E8-30</f>
        <v>-30</v>
      </c>
      <c r="I8" s="1">
        <f>H8*F8</f>
        <v>-4650</v>
      </c>
      <c r="J8" s="13"/>
      <c r="K8" s="11"/>
      <c r="N8" s="4"/>
      <c r="O8" s="1"/>
    </row>
    <row r="9" spans="2:15" ht="12">
      <c r="B9" s="2"/>
      <c r="C9" s="2"/>
      <c r="D9" s="2"/>
      <c r="E9" s="8"/>
      <c r="F9" s="18"/>
      <c r="G9" s="9"/>
      <c r="H9" s="1"/>
      <c r="I9" s="1"/>
      <c r="J9" s="13"/>
      <c r="K9" s="11"/>
      <c r="N9" s="4"/>
      <c r="O9" s="1"/>
    </row>
    <row r="10" spans="1:15" ht="12">
      <c r="A10" s="3" t="s">
        <v>36</v>
      </c>
      <c r="B10" s="2"/>
      <c r="C10" s="2"/>
      <c r="D10" s="2"/>
      <c r="E10" s="8"/>
      <c r="F10" s="18"/>
      <c r="G10" s="9"/>
      <c r="H10" s="1"/>
      <c r="I10" s="1"/>
      <c r="J10" s="13"/>
      <c r="K10" s="11"/>
      <c r="N10" s="4"/>
      <c r="O10" s="1"/>
    </row>
    <row r="11" spans="1:15" ht="12">
      <c r="A11" s="2" t="s">
        <v>10</v>
      </c>
      <c r="B11" s="2" t="s">
        <v>27</v>
      </c>
      <c r="C11" s="2"/>
      <c r="D11" s="2"/>
      <c r="E11" s="8"/>
      <c r="F11" s="26">
        <v>79</v>
      </c>
      <c r="G11" s="9"/>
      <c r="H11" s="25">
        <v>205</v>
      </c>
      <c r="I11" s="1">
        <f>H11*$F$11</f>
        <v>16195</v>
      </c>
      <c r="K11" s="11"/>
      <c r="O11" s="1"/>
    </row>
    <row r="12" spans="1:15" ht="12">
      <c r="A12" s="2" t="s">
        <v>11</v>
      </c>
      <c r="B12" s="2" t="s">
        <v>27</v>
      </c>
      <c r="C12" s="2"/>
      <c r="D12" s="2"/>
      <c r="E12" s="8"/>
      <c r="F12" s="26">
        <v>79</v>
      </c>
      <c r="G12" s="9"/>
      <c r="H12" s="25">
        <v>235</v>
      </c>
      <c r="I12" s="1">
        <f>H12*$F$12</f>
        <v>18565</v>
      </c>
      <c r="K12" s="11"/>
      <c r="O12" s="1"/>
    </row>
    <row r="13" spans="1:15" ht="12">
      <c r="A13" s="2" t="s">
        <v>22</v>
      </c>
      <c r="B13" s="2" t="s">
        <v>28</v>
      </c>
      <c r="C13" s="2"/>
      <c r="D13" s="2"/>
      <c r="E13" s="8"/>
      <c r="F13" s="26">
        <v>113</v>
      </c>
      <c r="G13" s="9"/>
      <c r="H13" s="25">
        <v>210</v>
      </c>
      <c r="I13" s="1">
        <f>H13*$F$13</f>
        <v>23730</v>
      </c>
      <c r="K13" s="11"/>
      <c r="O13" s="1"/>
    </row>
    <row r="14" spans="1:15" ht="12">
      <c r="A14" s="2" t="s">
        <v>23</v>
      </c>
      <c r="B14" s="2" t="s">
        <v>28</v>
      </c>
      <c r="C14" s="2"/>
      <c r="D14" s="2"/>
      <c r="E14" s="8"/>
      <c r="F14" s="26">
        <v>113</v>
      </c>
      <c r="G14" s="9"/>
      <c r="H14" s="25">
        <v>50</v>
      </c>
      <c r="I14" s="1">
        <f>H14*$F$14</f>
        <v>5650</v>
      </c>
      <c r="K14" s="11"/>
      <c r="O14" s="1"/>
    </row>
    <row r="15" spans="1:15" ht="12">
      <c r="A15" s="2" t="s">
        <v>24</v>
      </c>
      <c r="B15" s="2"/>
      <c r="C15" s="2"/>
      <c r="D15" s="2"/>
      <c r="E15" s="8"/>
      <c r="F15" s="9">
        <v>152</v>
      </c>
      <c r="G15" s="9"/>
      <c r="H15" s="25">
        <v>0</v>
      </c>
      <c r="I15" s="1">
        <f>H15*$F$15</f>
        <v>0</v>
      </c>
      <c r="K15" s="11"/>
      <c r="O15" s="1"/>
    </row>
    <row r="16" spans="1:15" ht="12">
      <c r="A16" s="2" t="s">
        <v>25</v>
      </c>
      <c r="B16" s="2"/>
      <c r="C16" s="2"/>
      <c r="D16" s="2"/>
      <c r="E16" s="8"/>
      <c r="F16" s="9">
        <v>152</v>
      </c>
      <c r="G16" s="9"/>
      <c r="H16" s="25">
        <v>0</v>
      </c>
      <c r="I16" s="1">
        <f>H16*$F$16</f>
        <v>0</v>
      </c>
      <c r="K16" s="11"/>
      <c r="O16" s="1"/>
    </row>
    <row r="17" spans="2:15" ht="12">
      <c r="B17" s="2"/>
      <c r="C17" s="2"/>
      <c r="D17" s="2"/>
      <c r="E17" s="8"/>
      <c r="F17" s="9"/>
      <c r="G17" s="9"/>
      <c r="H17" s="2"/>
      <c r="I17" s="1"/>
      <c r="K17" s="11"/>
      <c r="O17" s="1"/>
    </row>
    <row r="18" spans="1:15" ht="12">
      <c r="A18" s="3" t="s">
        <v>37</v>
      </c>
      <c r="B18" s="2"/>
      <c r="C18" s="2"/>
      <c r="D18" s="2"/>
      <c r="E18" s="8"/>
      <c r="F18" s="9"/>
      <c r="G18" s="9"/>
      <c r="H18" s="2"/>
      <c r="I18" s="1"/>
      <c r="K18" s="11"/>
      <c r="O18" s="1"/>
    </row>
    <row r="19" spans="1:15" ht="12">
      <c r="A19" s="2" t="s">
        <v>30</v>
      </c>
      <c r="B19" s="2"/>
      <c r="C19" s="2"/>
      <c r="D19" s="2"/>
      <c r="E19" s="8"/>
      <c r="F19" s="9">
        <v>91</v>
      </c>
      <c r="G19" s="9"/>
      <c r="H19" s="25">
        <v>60</v>
      </c>
      <c r="I19" s="1">
        <f>H19*F19</f>
        <v>5460</v>
      </c>
      <c r="K19" s="11"/>
      <c r="O19" s="1"/>
    </row>
    <row r="20" spans="1:15" ht="12">
      <c r="A20" s="2" t="s">
        <v>31</v>
      </c>
      <c r="B20" s="2"/>
      <c r="C20" s="2"/>
      <c r="D20" s="2"/>
      <c r="E20" s="8"/>
      <c r="F20" s="9">
        <v>150</v>
      </c>
      <c r="G20" s="9"/>
      <c r="H20" s="25">
        <v>1</v>
      </c>
      <c r="I20" s="1">
        <f>H20*F20</f>
        <v>150</v>
      </c>
      <c r="K20" s="11"/>
      <c r="O20" s="1"/>
    </row>
    <row r="21" spans="1:15" ht="12">
      <c r="A21" s="2" t="s">
        <v>32</v>
      </c>
      <c r="B21" s="2"/>
      <c r="C21" s="2"/>
      <c r="D21" s="2"/>
      <c r="E21" s="8"/>
      <c r="F21" s="9">
        <v>164</v>
      </c>
      <c r="G21" s="9"/>
      <c r="H21" s="25">
        <v>1</v>
      </c>
      <c r="I21" s="1">
        <f>H21*F21</f>
        <v>164</v>
      </c>
      <c r="K21" s="11"/>
      <c r="O21" s="1"/>
    </row>
    <row r="22" spans="1:15" ht="12">
      <c r="A22" s="2" t="s">
        <v>33</v>
      </c>
      <c r="B22" s="2" t="s">
        <v>38</v>
      </c>
      <c r="C22" s="2"/>
      <c r="D22" s="2"/>
      <c r="E22" s="8"/>
      <c r="F22" s="9">
        <v>108</v>
      </c>
      <c r="G22" s="9"/>
      <c r="H22" s="25">
        <v>1</v>
      </c>
      <c r="I22" s="1">
        <f>H22*F22</f>
        <v>108</v>
      </c>
      <c r="K22" s="11"/>
      <c r="O22" s="1"/>
    </row>
    <row r="23" spans="1:15" ht="12">
      <c r="A23" s="2" t="s">
        <v>34</v>
      </c>
      <c r="B23" s="2" t="s">
        <v>39</v>
      </c>
      <c r="C23" s="2"/>
      <c r="D23" s="2"/>
      <c r="E23" s="8"/>
      <c r="F23" s="9">
        <v>145</v>
      </c>
      <c r="G23" s="9"/>
      <c r="H23" s="25">
        <v>200</v>
      </c>
      <c r="I23" s="1">
        <f>H23*F23</f>
        <v>29000</v>
      </c>
      <c r="K23" s="11"/>
      <c r="O23" s="1"/>
    </row>
    <row r="24" spans="2:15" ht="12">
      <c r="B24" s="2"/>
      <c r="C24" s="2"/>
      <c r="D24" s="2"/>
      <c r="E24" s="8"/>
      <c r="F24" s="9"/>
      <c r="G24" s="9"/>
      <c r="H24" s="2"/>
      <c r="I24" s="1"/>
      <c r="K24" s="11"/>
      <c r="O24" s="1"/>
    </row>
    <row r="25" spans="1:15" ht="12">
      <c r="A25" s="3" t="s">
        <v>35</v>
      </c>
      <c r="B25" s="2"/>
      <c r="C25" s="2"/>
      <c r="D25" s="2"/>
      <c r="E25" s="8"/>
      <c r="F25" s="9"/>
      <c r="G25" s="9"/>
      <c r="H25" s="2"/>
      <c r="I25" s="1"/>
      <c r="K25" s="11"/>
      <c r="O25" s="1"/>
    </row>
    <row r="26" spans="1:15" ht="12">
      <c r="A26" s="2" t="s">
        <v>20</v>
      </c>
      <c r="B26" s="2"/>
      <c r="C26" s="2"/>
      <c r="D26" s="2"/>
      <c r="E26" s="24">
        <v>60</v>
      </c>
      <c r="F26" s="9">
        <v>75</v>
      </c>
      <c r="G26" s="9"/>
      <c r="H26" s="2">
        <f>E26*6</f>
        <v>360</v>
      </c>
      <c r="I26" s="1">
        <f>H26*$F$26</f>
        <v>27000</v>
      </c>
      <c r="K26" s="11"/>
      <c r="O26" s="1"/>
    </row>
    <row r="27" spans="1:15" ht="12">
      <c r="A27" s="2" t="s">
        <v>21</v>
      </c>
      <c r="B27" s="2"/>
      <c r="C27" s="2"/>
      <c r="D27" s="2"/>
      <c r="E27" s="24">
        <v>22</v>
      </c>
      <c r="F27" s="9">
        <v>89.5</v>
      </c>
      <c r="G27" s="9"/>
      <c r="H27" s="2">
        <f>E27*6</f>
        <v>132</v>
      </c>
      <c r="I27" s="1">
        <f>H27*F27</f>
        <v>11814</v>
      </c>
      <c r="K27" s="11"/>
      <c r="O27" s="1"/>
    </row>
    <row r="28" spans="2:15" ht="12">
      <c r="B28" s="2"/>
      <c r="C28" s="2"/>
      <c r="D28" s="2"/>
      <c r="E28" s="8"/>
      <c r="F28" s="9"/>
      <c r="G28" s="9"/>
      <c r="H28" s="2"/>
      <c r="I28" s="1"/>
      <c r="K28" s="11"/>
      <c r="O28" s="1"/>
    </row>
    <row r="29" spans="1:13" ht="12">
      <c r="A29" s="2" t="s">
        <v>12</v>
      </c>
      <c r="E29" s="14">
        <f>SUM(H4:H27)</f>
        <v>3726</v>
      </c>
      <c r="F29" s="1">
        <f>SUM(I4:I27)</f>
        <v>311694.64</v>
      </c>
      <c r="H29" s="11" t="s">
        <v>13</v>
      </c>
      <c r="I29" s="12">
        <f>SQRT($E$29/3600)*63*1.3</f>
        <v>83.32092384269393</v>
      </c>
      <c r="K29" s="6"/>
      <c r="M29" s="2"/>
    </row>
    <row r="30" spans="1:13" ht="12">
      <c r="A30" s="2" t="s">
        <v>14</v>
      </c>
      <c r="F30" s="6">
        <f>F29/E29</f>
        <v>83.65395598497048</v>
      </c>
      <c r="H30" s="7" t="s">
        <v>15</v>
      </c>
      <c r="I30" s="12">
        <f>SQRT($E$29/3600)*71*1.3</f>
        <v>93.90135861636934</v>
      </c>
      <c r="J30" s="6"/>
      <c r="L30" s="6"/>
      <c r="M30" s="2"/>
    </row>
    <row r="31" spans="1:13" ht="12">
      <c r="A31" s="2" t="s">
        <v>16</v>
      </c>
      <c r="E31" s="5">
        <f>IF($E$29&lt;3100,74,(81-74)/(3600-3100)*($E$29-3100)+74)</f>
        <v>82.764</v>
      </c>
      <c r="F31" s="5">
        <f>IF(E29&lt;3600,87.7,(87.7-87.3)/(3600-3780)*(E29-3600)+87.7)</f>
        <v>87.42</v>
      </c>
      <c r="G31" s="6"/>
      <c r="H31" s="7" t="s">
        <v>19</v>
      </c>
      <c r="I31" s="12">
        <f>SQRT(E29/3600)*161</f>
        <v>163.7932690924752</v>
      </c>
      <c r="J31" s="5"/>
      <c r="L31" s="5"/>
      <c r="M31" s="2"/>
    </row>
    <row r="32" spans="5:13" ht="12">
      <c r="E32" s="5"/>
      <c r="F32" s="5"/>
      <c r="G32" s="5"/>
      <c r="J32" s="5"/>
      <c r="K32" s="5"/>
      <c r="L32" s="5"/>
      <c r="M32" s="2"/>
    </row>
    <row r="33" spans="7:13" ht="12">
      <c r="G33" s="5"/>
      <c r="I33" s="1"/>
      <c r="M33" s="2"/>
    </row>
    <row r="34" spans="1:13" ht="12">
      <c r="A34" s="2" t="s">
        <v>17</v>
      </c>
      <c r="E34" s="14">
        <f>SUM(H4:H23)</f>
        <v>3234</v>
      </c>
      <c r="F34" s="1">
        <f>SUM(I4:I23)</f>
        <v>272880.64</v>
      </c>
      <c r="H34" s="11" t="s">
        <v>13</v>
      </c>
      <c r="I34" s="12">
        <f>SQRT($E$34/3600)*63*1.3</f>
        <v>77.62518695629662</v>
      </c>
      <c r="K34" s="6"/>
      <c r="M34" s="2"/>
    </row>
    <row r="35" spans="1:13" ht="12">
      <c r="A35" s="2" t="s">
        <v>14</v>
      </c>
      <c r="F35" s="6">
        <f>F34/E34</f>
        <v>84.37867656153371</v>
      </c>
      <c r="H35" s="7" t="s">
        <v>15</v>
      </c>
      <c r="I35" s="12">
        <f>SQRT($E$34/3600)*71*1.3</f>
        <v>87.48235355392157</v>
      </c>
      <c r="J35" s="6"/>
      <c r="L35" s="6"/>
      <c r="M35" s="2"/>
    </row>
    <row r="36" spans="1:13" ht="12">
      <c r="A36" s="2" t="s">
        <v>18</v>
      </c>
      <c r="B36" s="9"/>
      <c r="C36" s="9"/>
      <c r="E36" s="5">
        <f>IF(E$34&lt;3100,74,(81-74)/(3600-3100)*($E$34-3100)+74)</f>
        <v>75.876</v>
      </c>
      <c r="F36" s="5">
        <f>IF(E34&lt;3600,87.7,(87.7-87.3)/(3600-3780)*(E34-3600)+87.7)</f>
        <v>87.7</v>
      </c>
      <c r="G36" s="6"/>
      <c r="H36" s="11" t="s">
        <v>19</v>
      </c>
      <c r="I36" s="12">
        <f>SQRT(E34/3600)*161</f>
        <v>152.5965213670788</v>
      </c>
      <c r="J36" s="5"/>
      <c r="L36" s="5"/>
      <c r="M36" s="2"/>
    </row>
    <row r="38" spans="1:13" ht="12">
      <c r="A38" s="2" t="s">
        <v>0</v>
      </c>
      <c r="G38" s="5"/>
      <c r="M38" s="2"/>
    </row>
    <row r="39" ht="12">
      <c r="M39" s="2"/>
    </row>
    <row r="40" ht="12">
      <c r="M40" s="2"/>
    </row>
    <row r="41" ht="12">
      <c r="M41" s="2"/>
    </row>
    <row r="42" ht="12">
      <c r="M42" s="2"/>
    </row>
    <row r="43" ht="12">
      <c r="M43" s="2"/>
    </row>
    <row r="44" ht="12">
      <c r="M44" s="2"/>
    </row>
  </sheetData>
  <printOptions/>
  <pageMargins left="0.73" right="0.75" top="0.75" bottom="0.75" header="0.25" footer="0.25"/>
  <pageSetup fitToHeight="1" fitToWidth="1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Ames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Applied Information Technology Division</dc:creator>
  <cp:keywords/>
  <dc:description/>
  <cp:lastModifiedBy>Mike Sasser</cp:lastModifiedBy>
  <cp:lastPrinted>2005-03-25T14:20:35Z</cp:lastPrinted>
  <dcterms:created xsi:type="dcterms:W3CDTF">2000-11-15T00:23:05Z</dcterms:created>
  <dcterms:modified xsi:type="dcterms:W3CDTF">2007-03-21T20:23:06Z</dcterms:modified>
  <cp:category/>
  <cp:version/>
  <cp:contentType/>
  <cp:contentStatus/>
</cp:coreProperties>
</file>